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ampD">'Sheet1'!$P$10</definedName>
    <definedName name="anchorA">'Sheet1'!$P$8</definedName>
    <definedName name="b">'Sheet1'!$P$12</definedName>
    <definedName name="dosc">'Sheet1'!$M$9</definedName>
    <definedName name="dt">'Sheet1'!$F$10</definedName>
    <definedName name="dx">'Sheet1'!$C$8</definedName>
    <definedName name="dy">'Sheet1'!$C$9</definedName>
    <definedName name="firststep">'Sheet1'!$M$11</definedName>
    <definedName name="imitstep">'Sheet1'!$M$12</definedName>
    <definedName name="lcm">'Sheet1'!$C$10</definedName>
    <definedName name="lmax">'Sheet1'!$M$8</definedName>
    <definedName name="omegaD">'Sheet1'!$P$11</definedName>
    <definedName name="omegaF">'Sheet1'!$C$12</definedName>
    <definedName name="oscD">'Sheet1'!$P$7</definedName>
    <definedName name="philag">'Sheet1'!$P$6</definedName>
    <definedName name="pi">'Sheet1'!$C$11</definedName>
    <definedName name="riserate">'Sheet1'!$P$9</definedName>
    <definedName name="step">'Sheet1'!$M$10</definedName>
    <definedName name="t">'Sheet1'!$C$7</definedName>
    <definedName name="thetamax">'Sheet1'!$M$7</definedName>
    <definedName name="tinit">'Sheet1'!$F$12</definedName>
    <definedName name="tmax">'Sheet1'!$F$8</definedName>
    <definedName name="tnot">'Sheet1'!$F$9</definedName>
    <definedName name="tsteps">'Sheet1'!$F$11</definedName>
    <definedName name="unison">'Sheet1'!$F$7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<sst xmlns="http://schemas.openxmlformats.org/spreadsheetml/2006/main" count="47" uniqueCount="47">
  <si>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dx=</t>
  </si>
  <si>
    <t>dy=</t>
  </si>
  <si>
    <t>lcm=</t>
  </si>
  <si>
    <t>omega</t>
  </si>
  <si>
    <t>length</t>
  </si>
  <si>
    <t>period</t>
  </si>
  <si>
    <t>oscs</t>
  </si>
  <si>
    <t>pi=</t>
  </si>
  <si>
    <t>omegaF=</t>
  </si>
  <si>
    <t>t=</t>
  </si>
  <si>
    <t>unison=</t>
  </si>
  <si>
    <t>periodF</t>
  </si>
  <si>
    <t>tmax=</t>
  </si>
  <si>
    <t>tnot=</t>
  </si>
  <si>
    <t>dt=</t>
  </si>
  <si>
    <t>tsteps=</t>
  </si>
  <si>
    <t>tinit=</t>
  </si>
  <si>
    <t>osc check</t>
  </si>
  <si>
    <t>x</t>
  </si>
  <si>
    <t>y</t>
  </si>
  <si>
    <t>thetamax=</t>
  </si>
  <si>
    <t>lmax=</t>
  </si>
  <si>
    <t>dosc=</t>
  </si>
  <si>
    <t>line and anchors</t>
  </si>
  <si>
    <t>step=</t>
  </si>
  <si>
    <t>firststep</t>
  </si>
  <si>
    <t>imitstep=</t>
  </si>
  <si>
    <t>b=</t>
  </si>
  <si>
    <t>omegaD=</t>
  </si>
  <si>
    <t>bobs x</t>
  </si>
  <si>
    <t>bobs y</t>
  </si>
  <si>
    <t>ampA</t>
  </si>
  <si>
    <t>ampD=</t>
  </si>
  <si>
    <t>phi</t>
  </si>
  <si>
    <t>ampX</t>
  </si>
  <si>
    <t>delta</t>
  </si>
  <si>
    <t>theta</t>
  </si>
  <si>
    <t>ampRaw</t>
  </si>
  <si>
    <t>riserate=</t>
  </si>
  <si>
    <t>anchorA=</t>
  </si>
  <si>
    <t>oscD=</t>
  </si>
  <si>
    <t>philag=</t>
  </si>
  <si>
    <t>Driving Frequency:</t>
  </si>
  <si>
    <t xml:space="preserve">Driving Amplitude: </t>
  </si>
  <si>
    <t>animation speed</t>
  </si>
  <si>
    <t>There are nineteen pendulums</t>
  </si>
  <si>
    <t>th resonant freqency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</si>
</sst>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Oscillating Pendula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175"/>
          <c:w val="0.919"/>
          <c:h val="0.8535"/>
        </c:manualLayout>
      </c:layout>
      <c:scatterChart>
        <c:scatterStyle val="lineMarker"/>
        <c:varyColors val="0"/>
        <c:ser>
          <c:idx val="2"/>
          <c:order val="0"/>
          <c:tx>
            <c:v>string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Sheet1!$G$15:$G$16</c:f>
              <c:numCache/>
            </c:numRef>
          </c:xVal>
          <c:yVal>
            <c:numRef>
              <c:f>Sheet1!$H$15:$H$16</c:f>
              <c:numCache/>
            </c:numRef>
          </c:yVal>
          <c:smooth val="0"/>
        </c:ser>
        <c:ser>
          <c:idx val="3"/>
          <c:order val="1"/>
          <c:tx>
            <c:v>string 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Sheet1!$G$17:$G$18</c:f>
              <c:numCache/>
            </c:numRef>
          </c:xVal>
          <c:yVal>
            <c:numRef>
              <c:f>Sheet1!$H$17:$H$18</c:f>
              <c:numCache/>
            </c:numRef>
          </c:yVal>
          <c:smooth val="0"/>
        </c:ser>
        <c:ser>
          <c:idx val="4"/>
          <c:order val="2"/>
          <c:tx>
            <c:v>string 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Sheet1!$G$19:$G$20</c:f>
              <c:numCache/>
            </c:numRef>
          </c:xVal>
          <c:yVal>
            <c:numRef>
              <c:f>Sheet1!$H$19:$H$20</c:f>
              <c:numCache/>
            </c:numRef>
          </c:yVal>
          <c:smooth val="0"/>
        </c:ser>
        <c:ser>
          <c:idx val="5"/>
          <c:order val="3"/>
          <c:tx>
            <c:v>string 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Sheet1!$G$21:$G$22</c:f>
              <c:numCache/>
            </c:numRef>
          </c:xVal>
          <c:yVal>
            <c:numRef>
              <c:f>Sheet1!$H$21:$H$22</c:f>
              <c:numCache/>
            </c:numRef>
          </c:yVal>
          <c:smooth val="0"/>
        </c:ser>
        <c:ser>
          <c:idx val="6"/>
          <c:order val="4"/>
          <c:tx>
            <c:v>string 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Sheet1!$G$23:$G$24</c:f>
              <c:numCache/>
            </c:numRef>
          </c:xVal>
          <c:yVal>
            <c:numRef>
              <c:f>Sheet1!$H$23:$H$24</c:f>
              <c:numCache/>
            </c:numRef>
          </c:yVal>
          <c:smooth val="0"/>
        </c:ser>
        <c:ser>
          <c:idx val="7"/>
          <c:order val="5"/>
          <c:tx>
            <c:v>string 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Sheet1!$G$25:$G$26</c:f>
              <c:numCache/>
            </c:numRef>
          </c:xVal>
          <c:yVal>
            <c:numRef>
              <c:f>Sheet1!$H$25:$H$26</c:f>
              <c:numCache/>
            </c:numRef>
          </c:yVal>
          <c:smooth val="0"/>
        </c:ser>
        <c:ser>
          <c:idx val="8"/>
          <c:order val="6"/>
          <c:tx>
            <c:v>string 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Sheet1!$G$27:$G$28</c:f>
              <c:numCache/>
            </c:numRef>
          </c:xVal>
          <c:yVal>
            <c:numRef>
              <c:f>Sheet1!$H$27:$H$28</c:f>
              <c:numCache/>
            </c:numRef>
          </c:yVal>
          <c:smooth val="0"/>
        </c:ser>
        <c:ser>
          <c:idx val="9"/>
          <c:order val="7"/>
          <c:tx>
            <c:v>string 8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Sheet1!$G$29:$G$30</c:f>
              <c:numCache/>
            </c:numRef>
          </c:xVal>
          <c:yVal>
            <c:numRef>
              <c:f>Sheet1!$H$29:$H$30</c:f>
              <c:numCache/>
            </c:numRef>
          </c:yVal>
          <c:smooth val="0"/>
        </c:ser>
        <c:ser>
          <c:idx val="10"/>
          <c:order val="8"/>
          <c:tx>
            <c:v>string 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Sheet1!$G$31:$G$32</c:f>
              <c:numCache/>
            </c:numRef>
          </c:xVal>
          <c:yVal>
            <c:numRef>
              <c:f>Sheet1!$H$31:$H$32</c:f>
              <c:numCache/>
            </c:numRef>
          </c:yVal>
          <c:smooth val="0"/>
        </c:ser>
        <c:ser>
          <c:idx val="11"/>
          <c:order val="9"/>
          <c:tx>
            <c:v>line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Sheet1!$F$58:$F$78</c:f>
              <c:numCache/>
            </c:numRef>
          </c:xVal>
          <c:yVal>
            <c:numRef>
              <c:f>Sheet1!$G$58:$G$78</c:f>
              <c:numCache/>
            </c:numRef>
          </c:yVal>
          <c:smooth val="0"/>
        </c:ser>
        <c:ser>
          <c:idx val="12"/>
          <c:order val="10"/>
          <c:tx>
            <c:v>Anchors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Sheet1!$F$59:$F$77</c:f>
              <c:numCache/>
            </c:numRef>
          </c:xVal>
          <c:yVal>
            <c:numRef>
              <c:f>Sheet1!$G$59:$G$77</c:f>
              <c:numCache/>
            </c:numRef>
          </c:yVal>
          <c:smooth val="0"/>
        </c:ser>
        <c:ser>
          <c:idx val="13"/>
          <c:order val="11"/>
          <c:tx>
            <c:v>string 10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Sheet1!$G$33:$G$34</c:f>
              <c:numCache/>
            </c:numRef>
          </c:xVal>
          <c:yVal>
            <c:numRef>
              <c:f>Sheet1!$H$33:$H$34</c:f>
              <c:numCache/>
            </c:numRef>
          </c:yVal>
          <c:smooth val="0"/>
        </c:ser>
        <c:ser>
          <c:idx val="14"/>
          <c:order val="12"/>
          <c:tx>
            <c:v>string 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Sheet1!$G$35:$G$36</c:f>
              <c:numCache/>
            </c:numRef>
          </c:xVal>
          <c:yVal>
            <c:numRef>
              <c:f>Sheet1!$H$35:$H$36</c:f>
              <c:numCache/>
            </c:numRef>
          </c:yVal>
          <c:smooth val="0"/>
        </c:ser>
        <c:ser>
          <c:idx val="15"/>
          <c:order val="13"/>
          <c:tx>
            <c:v>string 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Sheet1!$G$37:$G$38</c:f>
              <c:numCache/>
            </c:numRef>
          </c:xVal>
          <c:yVal>
            <c:numRef>
              <c:f>Sheet1!$H$37:$H$38</c:f>
              <c:numCache/>
            </c:numRef>
          </c:yVal>
          <c:smooth val="0"/>
        </c:ser>
        <c:ser>
          <c:idx val="16"/>
          <c:order val="14"/>
          <c:tx>
            <c:v>string 13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Sheet1!$G$39:$G$40</c:f>
              <c:numCache/>
            </c:numRef>
          </c:xVal>
          <c:yVal>
            <c:numRef>
              <c:f>Sheet1!$H$39:$H$40</c:f>
              <c:numCache/>
            </c:numRef>
          </c:yVal>
          <c:smooth val="0"/>
        </c:ser>
        <c:ser>
          <c:idx val="17"/>
          <c:order val="15"/>
          <c:tx>
            <c:v>string 14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Sheet1!$G$41:$G$42</c:f>
              <c:numCache/>
            </c:numRef>
          </c:xVal>
          <c:yVal>
            <c:numRef>
              <c:f>Sheet1!$H$41:$H$42</c:f>
              <c:numCache/>
            </c:numRef>
          </c:yVal>
          <c:smooth val="0"/>
        </c:ser>
        <c:ser>
          <c:idx val="18"/>
          <c:order val="16"/>
          <c:tx>
            <c:v>string 15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Sheet1!$G$43:$G$44</c:f>
              <c:numCache/>
            </c:numRef>
          </c:xVal>
          <c:yVal>
            <c:numRef>
              <c:f>Sheet1!$H$43:$H$44</c:f>
              <c:numCache/>
            </c:numRef>
          </c:yVal>
          <c:smooth val="0"/>
        </c:ser>
        <c:ser>
          <c:idx val="19"/>
          <c:order val="17"/>
          <c:tx>
            <c:v>string 16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Sheet1!$G$45:$G$46</c:f>
              <c:numCache/>
            </c:numRef>
          </c:xVal>
          <c:yVal>
            <c:numRef>
              <c:f>Sheet1!$H$45:$H$46</c:f>
              <c:numCache/>
            </c:numRef>
          </c:yVal>
          <c:smooth val="0"/>
        </c:ser>
        <c:ser>
          <c:idx val="20"/>
          <c:order val="18"/>
          <c:tx>
            <c:v>string 17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Sheet1!$G$47:$G$48</c:f>
              <c:numCache/>
            </c:numRef>
          </c:xVal>
          <c:yVal>
            <c:numRef>
              <c:f>Sheet1!$H$47:$H$48</c:f>
              <c:numCache/>
            </c:numRef>
          </c:yVal>
          <c:smooth val="0"/>
        </c:ser>
        <c:ser>
          <c:idx val="21"/>
          <c:order val="19"/>
          <c:tx>
            <c:v>string 18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Sheet1!$G$49:$G$50</c:f>
              <c:numCache/>
            </c:numRef>
          </c:xVal>
          <c:yVal>
            <c:numRef>
              <c:f>Sheet1!$H$49:$H$50</c:f>
              <c:numCache/>
            </c:numRef>
          </c:yVal>
          <c:smooth val="0"/>
        </c:ser>
        <c:ser>
          <c:idx val="22"/>
          <c:order val="20"/>
          <c:tx>
            <c:v>string 19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Sheet1!$G$51:$G$52</c:f>
              <c:numCache/>
            </c:numRef>
          </c:xVal>
          <c:yVal>
            <c:numRef>
              <c:f>Sheet1!$H$51:$H$52</c:f>
              <c:numCache/>
            </c:numRef>
          </c:yVal>
          <c:smooth val="0"/>
        </c:ser>
        <c:ser>
          <c:idx val="23"/>
          <c:order val="21"/>
          <c:tx>
            <c:v>Bobs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Sheet1!$M$16:$M$52</c:f>
              <c:numCache/>
            </c:numRef>
          </c:xVal>
          <c:yVal>
            <c:numRef>
              <c:f>Sheet1!$N$16:$N$52</c:f>
              <c:numCache/>
            </c:numRef>
          </c:yVal>
          <c:smooth val="0"/>
        </c:ser>
        <c:axId val="13665966"/>
        <c:axId val="55884831"/>
      </c:scatterChart>
      <c:valAx>
        <c:axId val="13665966"/>
        <c:scaling>
          <c:orientation val="minMax"/>
          <c:max val="24"/>
          <c:min val="-6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5884831"/>
        <c:crosses val="autoZero"/>
        <c:crossBetween val="midCat"/>
        <c:dispUnits/>
        <c:majorUnit val="6"/>
      </c:valAx>
      <c:valAx>
        <c:axId val="55884831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665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7.emf" /><Relationship Id="rId6" Type="http://schemas.openxmlformats.org/officeDocument/2006/relationships/image" Target="../media/image2.emf" /><Relationship Id="rId7" Type="http://schemas.openxmlformats.org/officeDocument/2006/relationships/image" Target="../media/image4.emf" /><Relationship Id="rId8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76200</xdr:rowOff>
    </xdr:from>
    <xdr:to>
      <xdr:col>8</xdr:col>
      <xdr:colOff>38100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52400" y="400050"/>
        <a:ext cx="47625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171450</xdr:colOff>
      <xdr:row>8</xdr:row>
      <xdr:rowOff>142875</xdr:rowOff>
    </xdr:from>
    <xdr:to>
      <xdr:col>11</xdr:col>
      <xdr:colOff>171450</xdr:colOff>
      <xdr:row>10</xdr:row>
      <xdr:rowOff>123825</xdr:rowOff>
    </xdr:to>
    <xdr:pic>
      <xdr:nvPicPr>
        <xdr:cNvPr id="2" name="StartOscillat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438275"/>
          <a:ext cx="1828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11</xdr:row>
      <xdr:rowOff>66675</xdr:rowOff>
    </xdr:from>
    <xdr:to>
      <xdr:col>11</xdr:col>
      <xdr:colOff>123825</xdr:colOff>
      <xdr:row>13</xdr:row>
      <xdr:rowOff>9525</xdr:rowOff>
    </xdr:to>
    <xdr:pic>
      <xdr:nvPicPr>
        <xdr:cNvPr id="3" name="ahea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8478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11</xdr:row>
      <xdr:rowOff>66675</xdr:rowOff>
    </xdr:from>
    <xdr:to>
      <xdr:col>9</xdr:col>
      <xdr:colOff>476250</xdr:colOff>
      <xdr:row>13</xdr:row>
      <xdr:rowOff>9525</xdr:rowOff>
    </xdr:to>
    <xdr:pic>
      <xdr:nvPicPr>
        <xdr:cNvPr id="4" name="bac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1847850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6</xdr:row>
      <xdr:rowOff>123825</xdr:rowOff>
    </xdr:from>
    <xdr:to>
      <xdr:col>10</xdr:col>
      <xdr:colOff>304800</xdr:colOff>
      <xdr:row>8</xdr:row>
      <xdr:rowOff>66675</xdr:rowOff>
    </xdr:to>
    <xdr:pic>
      <xdr:nvPicPr>
        <xdr:cNvPr id="5" name="rese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1095375"/>
          <a:ext cx="800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0</xdr:row>
      <xdr:rowOff>19050</xdr:rowOff>
    </xdr:from>
    <xdr:to>
      <xdr:col>7</xdr:col>
      <xdr:colOff>161925</xdr:colOff>
      <xdr:row>1</xdr:row>
      <xdr:rowOff>9525</xdr:rowOff>
    </xdr:to>
    <xdr:pic>
      <xdr:nvPicPr>
        <xdr:cNvPr id="6" name="OmegaDriv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19050"/>
          <a:ext cx="2552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</xdr:row>
      <xdr:rowOff>19050</xdr:rowOff>
    </xdr:from>
    <xdr:to>
      <xdr:col>7</xdr:col>
      <xdr:colOff>161925</xdr:colOff>
      <xdr:row>2</xdr:row>
      <xdr:rowOff>9525</xdr:rowOff>
    </xdr:to>
    <xdr:pic>
      <xdr:nvPicPr>
        <xdr:cNvPr id="7" name="DriverA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76425" y="180975"/>
          <a:ext cx="2552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18</xdr:row>
      <xdr:rowOff>0</xdr:rowOff>
    </xdr:from>
    <xdr:to>
      <xdr:col>11</xdr:col>
      <xdr:colOff>0</xdr:colOff>
      <xdr:row>19</xdr:row>
      <xdr:rowOff>19050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76875" y="2914650"/>
          <a:ext cx="1228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8"/>
  <sheetViews>
    <sheetView tabSelected="1" zoomScalePageLayoutView="0" workbookViewId="0" topLeftCell="A1">
      <selection activeCell="J5" sqref="J5"/>
    </sheetView>
  </sheetViews>
  <sheetFormatPr defaultColWidth="9.140625" defaultRowHeight="12.75"/>
  <sheetData>
    <row r="1" spans="3:10" ht="12.75">
      <c r="C1" s="1" t="s">
        <v>42</v>
      </c>
      <c r="F1">
        <v>70</v>
      </c>
      <c r="J1" t="s">
        <v>45</v>
      </c>
    </row>
    <row r="2" spans="3:11" ht="12.75">
      <c r="C2" s="1" t="s">
        <v>43</v>
      </c>
      <c r="F2">
        <v>18</v>
      </c>
      <c r="J2">
        <f>F4*2-17</f>
        <v>18</v>
      </c>
      <c r="K2" t="s">
        <v>46</v>
      </c>
    </row>
    <row r="4" ht="12.75">
      <c r="F4">
        <f>F1/4</f>
        <v>17.5</v>
      </c>
    </row>
    <row r="6" spans="15:16" ht="12.75">
      <c r="O6" t="s">
        <v>41</v>
      </c>
      <c r="P6">
        <f>-1*pi/2</f>
        <v>-1.570795</v>
      </c>
    </row>
    <row r="7" spans="2:16" ht="12.75">
      <c r="B7" t="s">
        <v>9</v>
      </c>
      <c r="C7">
        <v>0</v>
      </c>
      <c r="E7" t="s">
        <v>10</v>
      </c>
      <c r="F7">
        <f>thetamax/imitstep</f>
        <v>0.3490655555555555</v>
      </c>
      <c r="H7" t="s">
        <v>20</v>
      </c>
      <c r="M7">
        <f>pi/9</f>
        <v>0.3490655555555555</v>
      </c>
      <c r="O7" t="s">
        <v>40</v>
      </c>
      <c r="P7">
        <f>anchorA*ampD*SIN(omegaD*t)</f>
        <v>0</v>
      </c>
    </row>
    <row r="8" spans="2:16" ht="12.75">
      <c r="B8" t="s">
        <v>0</v>
      </c>
      <c r="C8">
        <v>1</v>
      </c>
      <c r="E8" t="s">
        <v>12</v>
      </c>
      <c r="F8">
        <f>MIN(2*pi*11.75/omegaD,17)</f>
        <v>8.46</v>
      </c>
      <c r="H8" t="s">
        <v>21</v>
      </c>
      <c r="M8">
        <f>18*B15^2</f>
        <v>362.55628388938777</v>
      </c>
      <c r="O8" t="s">
        <v>39</v>
      </c>
      <c r="P8">
        <v>5</v>
      </c>
    </row>
    <row r="9" spans="2:16" ht="12.75">
      <c r="B9" t="s">
        <v>1</v>
      </c>
      <c r="C9">
        <v>0</v>
      </c>
      <c r="E9" t="s">
        <v>13</v>
      </c>
      <c r="F9">
        <v>-1</v>
      </c>
      <c r="H9" t="s">
        <v>22</v>
      </c>
      <c r="M9">
        <v>0.5</v>
      </c>
      <c r="O9" t="s">
        <v>38</v>
      </c>
      <c r="P9">
        <v>1</v>
      </c>
    </row>
    <row r="10" spans="2:16" ht="12.75">
      <c r="B10" t="s">
        <v>2</v>
      </c>
      <c r="C10">
        <v>2520</v>
      </c>
      <c r="E10" t="s">
        <v>14</v>
      </c>
      <c r="F10">
        <f>K19</f>
        <v>0.016</v>
      </c>
      <c r="H10" t="s">
        <v>24</v>
      </c>
      <c r="M10">
        <f>E52/dt</f>
        <v>43.74999999999999</v>
      </c>
      <c r="O10" t="s">
        <v>32</v>
      </c>
      <c r="P10">
        <f>F2/700</f>
        <v>0.025714285714285714</v>
      </c>
    </row>
    <row r="11" spans="2:16" ht="12.75">
      <c r="B11" t="s">
        <v>7</v>
      </c>
      <c r="C11">
        <v>3.14159</v>
      </c>
      <c r="E11" t="s">
        <v>15</v>
      </c>
      <c r="F11">
        <f>tmax/dt</f>
        <v>528.75</v>
      </c>
      <c r="H11" t="s">
        <v>25</v>
      </c>
      <c r="M11">
        <f>step</f>
        <v>43.74999999999999</v>
      </c>
      <c r="O11" t="s">
        <v>28</v>
      </c>
      <c r="P11">
        <f>(F1/4)*omegaF*2*pi/lcm</f>
        <v>8.726638888888887</v>
      </c>
    </row>
    <row r="12" spans="2:16" ht="12.75">
      <c r="B12" t="s">
        <v>8</v>
      </c>
      <c r="C12">
        <v>200</v>
      </c>
      <c r="E12" t="s">
        <v>16</v>
      </c>
      <c r="F12">
        <f>1/dt</f>
        <v>62.5</v>
      </c>
      <c r="H12" t="s">
        <v>26</v>
      </c>
      <c r="M12">
        <v>1</v>
      </c>
      <c r="O12" t="s">
        <v>27</v>
      </c>
      <c r="P12">
        <v>0.5</v>
      </c>
    </row>
    <row r="14" spans="1:20" ht="12.75">
      <c r="A14" t="s">
        <v>6</v>
      </c>
      <c r="B14" t="s">
        <v>3</v>
      </c>
      <c r="C14" t="s">
        <v>4</v>
      </c>
      <c r="D14" t="s">
        <v>11</v>
      </c>
      <c r="E14" t="s">
        <v>5</v>
      </c>
      <c r="F14" t="s">
        <v>17</v>
      </c>
      <c r="G14" t="s">
        <v>18</v>
      </c>
      <c r="H14" t="s">
        <v>19</v>
      </c>
      <c r="M14" t="s">
        <v>29</v>
      </c>
      <c r="N14" t="s">
        <v>30</v>
      </c>
      <c r="O14" t="s">
        <v>31</v>
      </c>
      <c r="P14" t="s">
        <v>33</v>
      </c>
      <c r="Q14" t="s">
        <v>34</v>
      </c>
      <c r="R14" t="s">
        <v>35</v>
      </c>
      <c r="S14" t="s">
        <v>36</v>
      </c>
      <c r="T14" t="s">
        <v>37</v>
      </c>
    </row>
    <row r="15" spans="1:20" ht="12.75">
      <c r="A15">
        <v>9</v>
      </c>
      <c r="B15">
        <f aca="true" t="shared" si="0" ref="B15:B32">omegaF*2*pi/D15</f>
        <v>4.487985714285714</v>
      </c>
      <c r="C15">
        <f aca="true" t="shared" si="1" ref="C15:C52">lmax/B15^2</f>
        <v>18</v>
      </c>
      <c r="D15">
        <f>lcm/A15</f>
        <v>280</v>
      </c>
      <c r="E15">
        <f aca="true" t="shared" si="2" ref="E15:E32">(2*pi/B15)</f>
        <v>1.4</v>
      </c>
      <c r="F15">
        <f aca="true" t="shared" si="3" ref="F15:F52">lcm/(omegaF*E15)</f>
        <v>9</v>
      </c>
      <c r="G15">
        <f>1+oscD</f>
        <v>1</v>
      </c>
      <c r="H15">
        <v>19</v>
      </c>
      <c r="O15">
        <f aca="true" t="shared" si="4" ref="O15:O52">T15*(1-EXP(-1*riserate*SQRT((omegaD^2-B15^2)^2+(b*omegaD)^2)*t/(2*pi*B15)))</f>
        <v>0</v>
      </c>
      <c r="P15">
        <f aca="true" t="shared" si="5" ref="P15:P52">ABS(ATAN(b*omegaD/(SQRT((B15^2-omegaD^2)^2+0.01))))-philag</f>
        <v>1.6485373079702788</v>
      </c>
      <c r="Q15">
        <v>0</v>
      </c>
      <c r="R15">
        <f aca="true" t="shared" si="6" ref="R15:R52">ATAN(b/B15)</f>
        <v>0.11095102737422015</v>
      </c>
      <c r="S15">
        <f aca="true" t="shared" si="7" ref="S15:S52">O15*SIN(omegaD*t-P15)+Q15*SIN(B15*t-R15)*EXP(-1*b*t)</f>
        <v>0</v>
      </c>
      <c r="T15">
        <f aca="true" t="shared" si="8" ref="T15:T52">B15^2*ampD/SQRT((B15^2-omegaD^2)^2+(b*omegaD)^2)</f>
        <v>0.009218939121830255</v>
      </c>
    </row>
    <row r="16" spans="2:20" ht="12.75">
      <c r="B16">
        <f t="shared" si="0"/>
        <v>4.487985714285714</v>
      </c>
      <c r="C16">
        <f t="shared" si="1"/>
        <v>18</v>
      </c>
      <c r="D16">
        <f>D15</f>
        <v>280</v>
      </c>
      <c r="E16">
        <f t="shared" si="2"/>
        <v>1.4</v>
      </c>
      <c r="F16">
        <f t="shared" si="3"/>
        <v>9</v>
      </c>
      <c r="G16">
        <f>G15+C16*SIN(S15)-oscD</f>
        <v>1</v>
      </c>
      <c r="H16">
        <f>H15-SQRT(C16^2-MIN(C16^2,(G16-G15)^2))</f>
        <v>1</v>
      </c>
      <c r="M16">
        <f>G16</f>
        <v>1</v>
      </c>
      <c r="N16">
        <f>H16</f>
        <v>1</v>
      </c>
      <c r="O16">
        <f t="shared" si="4"/>
        <v>0</v>
      </c>
      <c r="P16">
        <f t="shared" si="5"/>
        <v>1.6485373079702788</v>
      </c>
      <c r="Q16">
        <v>0</v>
      </c>
      <c r="R16">
        <f t="shared" si="6"/>
        <v>0.11095102737422015</v>
      </c>
      <c r="S16">
        <f t="shared" si="7"/>
        <v>0</v>
      </c>
      <c r="T16">
        <f t="shared" si="8"/>
        <v>0.009218939121830255</v>
      </c>
    </row>
    <row r="17" spans="1:20" ht="12.75">
      <c r="A17">
        <f>A15+dosc</f>
        <v>9.5</v>
      </c>
      <c r="B17">
        <f t="shared" si="0"/>
        <v>4.737318253968255</v>
      </c>
      <c r="C17">
        <f t="shared" si="1"/>
        <v>16.15512465373961</v>
      </c>
      <c r="D17">
        <f>lcm/A17</f>
        <v>265.2631578947368</v>
      </c>
      <c r="E17">
        <f t="shared" si="2"/>
        <v>1.326315789473684</v>
      </c>
      <c r="F17">
        <f t="shared" si="3"/>
        <v>9.500000000000004</v>
      </c>
      <c r="G17">
        <f>G15+dx</f>
        <v>2</v>
      </c>
      <c r="H17">
        <f>H15+dy</f>
        <v>19</v>
      </c>
      <c r="O17">
        <f t="shared" si="4"/>
        <v>0</v>
      </c>
      <c r="P17">
        <f t="shared" si="5"/>
        <v>1.651852272537954</v>
      </c>
      <c r="Q17">
        <v>0</v>
      </c>
      <c r="R17">
        <f t="shared" si="6"/>
        <v>0.1051556307096752</v>
      </c>
      <c r="S17">
        <f t="shared" si="7"/>
        <v>0</v>
      </c>
      <c r="T17">
        <f t="shared" si="8"/>
        <v>0.010708771110085285</v>
      </c>
    </row>
    <row r="18" spans="2:20" ht="12.75">
      <c r="B18">
        <f t="shared" si="0"/>
        <v>4.737318253968255</v>
      </c>
      <c r="C18">
        <f t="shared" si="1"/>
        <v>16.15512465373961</v>
      </c>
      <c r="D18">
        <f>D17</f>
        <v>265.2631578947368</v>
      </c>
      <c r="E18">
        <f t="shared" si="2"/>
        <v>1.326315789473684</v>
      </c>
      <c r="F18">
        <f t="shared" si="3"/>
        <v>9.500000000000004</v>
      </c>
      <c r="G18">
        <f>G17+C18*SIN(S17)-oscD</f>
        <v>2</v>
      </c>
      <c r="H18">
        <f>H17-SQRT(C18^2-MIN(C18^2,(G18-G17)^2))</f>
        <v>2.844875346260391</v>
      </c>
      <c r="J18" t="s">
        <v>44</v>
      </c>
      <c r="M18">
        <f>G18</f>
        <v>2</v>
      </c>
      <c r="N18">
        <f>H18</f>
        <v>2.844875346260391</v>
      </c>
      <c r="O18">
        <f t="shared" si="4"/>
        <v>0</v>
      </c>
      <c r="P18">
        <f t="shared" si="5"/>
        <v>1.651852272537954</v>
      </c>
      <c r="Q18">
        <v>0</v>
      </c>
      <c r="R18">
        <f t="shared" si="6"/>
        <v>0.1051556307096752</v>
      </c>
      <c r="S18">
        <f t="shared" si="7"/>
        <v>0</v>
      </c>
      <c r="T18">
        <f t="shared" si="8"/>
        <v>0.010708771110085285</v>
      </c>
    </row>
    <row r="19" spans="1:20" ht="12.75">
      <c r="A19">
        <f>A17+dosc</f>
        <v>10</v>
      </c>
      <c r="B19">
        <f t="shared" si="0"/>
        <v>4.986650793650793</v>
      </c>
      <c r="C19">
        <f t="shared" si="1"/>
        <v>14.580000000000004</v>
      </c>
      <c r="D19">
        <f>lcm/A19</f>
        <v>252</v>
      </c>
      <c r="E19">
        <f t="shared" si="2"/>
        <v>1.26</v>
      </c>
      <c r="F19">
        <f t="shared" si="3"/>
        <v>10</v>
      </c>
      <c r="G19">
        <f>G17+dx</f>
        <v>3</v>
      </c>
      <c r="H19">
        <f>H17+dy</f>
        <v>19</v>
      </c>
      <c r="J19">
        <v>8</v>
      </c>
      <c r="K19">
        <f>J19*0.002</f>
        <v>0.016</v>
      </c>
      <c r="O19">
        <f>T19*(1-EXP(-1*riserate*SQRT((omegaD^2-B19^2)^2+(b*omegaD)^2)*t/(2*pi*B19)))</f>
        <v>0</v>
      </c>
      <c r="P19">
        <f t="shared" si="5"/>
        <v>1.6556660942907584</v>
      </c>
      <c r="Q19">
        <v>0</v>
      </c>
      <c r="R19">
        <f t="shared" si="6"/>
        <v>0.0999336938169068</v>
      </c>
      <c r="S19">
        <f t="shared" si="7"/>
        <v>0</v>
      </c>
      <c r="T19">
        <f t="shared" si="8"/>
        <v>0.012422656786410018</v>
      </c>
    </row>
    <row r="20" spans="2:20" ht="12.75">
      <c r="B20">
        <f t="shared" si="0"/>
        <v>4.986650793650793</v>
      </c>
      <c r="C20">
        <f t="shared" si="1"/>
        <v>14.580000000000004</v>
      </c>
      <c r="D20">
        <f>D19</f>
        <v>252</v>
      </c>
      <c r="E20">
        <f t="shared" si="2"/>
        <v>1.26</v>
      </c>
      <c r="F20">
        <f t="shared" si="3"/>
        <v>10</v>
      </c>
      <c r="G20">
        <f>G19+C20*SIN(S19)-oscD</f>
        <v>3</v>
      </c>
      <c r="H20">
        <f>H19-SQRT(C20^2-MIN(C20^2,(G20-G19)^2))</f>
        <v>4.419999999999996</v>
      </c>
      <c r="M20">
        <f>G20</f>
        <v>3</v>
      </c>
      <c r="N20">
        <f>H20</f>
        <v>4.419999999999996</v>
      </c>
      <c r="O20">
        <f t="shared" si="4"/>
        <v>0</v>
      </c>
      <c r="P20">
        <f t="shared" si="5"/>
        <v>1.6556660942907584</v>
      </c>
      <c r="Q20">
        <v>0</v>
      </c>
      <c r="R20">
        <f t="shared" si="6"/>
        <v>0.0999336938169068</v>
      </c>
      <c r="S20">
        <f t="shared" si="7"/>
        <v>0</v>
      </c>
      <c r="T20">
        <f t="shared" si="8"/>
        <v>0.012422656786410018</v>
      </c>
    </row>
    <row r="21" spans="1:20" ht="12.75">
      <c r="A21">
        <f>A19+dosc</f>
        <v>10.5</v>
      </c>
      <c r="B21">
        <f t="shared" si="0"/>
        <v>5.235983333333333</v>
      </c>
      <c r="C21">
        <f t="shared" si="1"/>
        <v>13.224489795918368</v>
      </c>
      <c r="D21">
        <f>lcm/A21</f>
        <v>240</v>
      </c>
      <c r="E21">
        <f t="shared" si="2"/>
        <v>1.2</v>
      </c>
      <c r="F21">
        <f t="shared" si="3"/>
        <v>10.5</v>
      </c>
      <c r="G21">
        <f>G19+dx</f>
        <v>4</v>
      </c>
      <c r="H21">
        <f>H19+dy</f>
        <v>19</v>
      </c>
      <c r="O21">
        <f t="shared" si="4"/>
        <v>0</v>
      </c>
      <c r="P21">
        <f t="shared" si="5"/>
        <v>1.6600815171361682</v>
      </c>
      <c r="Q21">
        <v>0</v>
      </c>
      <c r="R21">
        <f t="shared" si="6"/>
        <v>0.0952043598375251</v>
      </c>
      <c r="S21">
        <f t="shared" si="7"/>
        <v>0</v>
      </c>
      <c r="T21">
        <f t="shared" si="8"/>
        <v>0.014406668528773908</v>
      </c>
    </row>
    <row r="22" spans="2:20" ht="12.75">
      <c r="B22">
        <f t="shared" si="0"/>
        <v>5.235983333333333</v>
      </c>
      <c r="C22">
        <f t="shared" si="1"/>
        <v>13.224489795918368</v>
      </c>
      <c r="D22">
        <f>D21</f>
        <v>240</v>
      </c>
      <c r="E22">
        <f t="shared" si="2"/>
        <v>1.2</v>
      </c>
      <c r="F22">
        <f t="shared" si="3"/>
        <v>10.5</v>
      </c>
      <c r="G22">
        <f>G21+C22*SIN(S21)-oscD</f>
        <v>4</v>
      </c>
      <c r="H22">
        <f>H21-SQRT(C22^2-MIN(C22^2,(G22-G21)^2))</f>
        <v>5.775510204081632</v>
      </c>
      <c r="M22">
        <f>G22</f>
        <v>4</v>
      </c>
      <c r="N22">
        <f>H22</f>
        <v>5.775510204081632</v>
      </c>
      <c r="O22">
        <f t="shared" si="4"/>
        <v>0</v>
      </c>
      <c r="P22">
        <f t="shared" si="5"/>
        <v>1.6600815171361682</v>
      </c>
      <c r="Q22">
        <v>0</v>
      </c>
      <c r="R22">
        <f t="shared" si="6"/>
        <v>0.0952043598375251</v>
      </c>
      <c r="S22">
        <f t="shared" si="7"/>
        <v>0</v>
      </c>
      <c r="T22">
        <f t="shared" si="8"/>
        <v>0.014406668528773908</v>
      </c>
    </row>
    <row r="23" spans="1:20" ht="12.75">
      <c r="A23">
        <f>A21+dosc</f>
        <v>11</v>
      </c>
      <c r="B23">
        <f t="shared" si="0"/>
        <v>5.485315873015873</v>
      </c>
      <c r="C23">
        <f t="shared" si="1"/>
        <v>12.049586776859506</v>
      </c>
      <c r="D23">
        <f>lcm/A23</f>
        <v>229.0909090909091</v>
      </c>
      <c r="E23">
        <f t="shared" si="2"/>
        <v>1.1454545454545455</v>
      </c>
      <c r="F23">
        <f t="shared" si="3"/>
        <v>11</v>
      </c>
      <c r="G23">
        <f>G21+dx</f>
        <v>5</v>
      </c>
      <c r="H23">
        <f>H21+dy</f>
        <v>19</v>
      </c>
      <c r="O23">
        <f t="shared" si="4"/>
        <v>0</v>
      </c>
      <c r="P23">
        <f t="shared" si="5"/>
        <v>1.665232846917172</v>
      </c>
      <c r="Q23">
        <v>0</v>
      </c>
      <c r="R23">
        <f t="shared" si="6"/>
        <v>0.09090124970686908</v>
      </c>
      <c r="S23">
        <f t="shared" si="7"/>
        <v>0</v>
      </c>
      <c r="T23">
        <f t="shared" si="8"/>
        <v>0.016720994151622932</v>
      </c>
    </row>
    <row r="24" spans="2:20" ht="12.75">
      <c r="B24">
        <f t="shared" si="0"/>
        <v>5.485315873015873</v>
      </c>
      <c r="C24">
        <f t="shared" si="1"/>
        <v>12.049586776859506</v>
      </c>
      <c r="D24">
        <f>D23</f>
        <v>229.0909090909091</v>
      </c>
      <c r="E24">
        <f t="shared" si="2"/>
        <v>1.1454545454545455</v>
      </c>
      <c r="F24">
        <f t="shared" si="3"/>
        <v>11</v>
      </c>
      <c r="G24">
        <f>G23+C24*SIN(S23)-oscD</f>
        <v>5</v>
      </c>
      <c r="H24">
        <f>H23-SQRT(C24^2-MIN(C24^2,(G24-G23)^2))</f>
        <v>6.950413223140494</v>
      </c>
      <c r="J24">
        <f>1/18</f>
        <v>0.05555555555555555</v>
      </c>
      <c r="M24">
        <f>G24</f>
        <v>5</v>
      </c>
      <c r="N24">
        <f>H24</f>
        <v>6.950413223140494</v>
      </c>
      <c r="O24">
        <f t="shared" si="4"/>
        <v>0</v>
      </c>
      <c r="P24">
        <f t="shared" si="5"/>
        <v>1.665232846917172</v>
      </c>
      <c r="Q24">
        <v>0</v>
      </c>
      <c r="R24">
        <f t="shared" si="6"/>
        <v>0.09090124970686908</v>
      </c>
      <c r="S24">
        <f t="shared" si="7"/>
        <v>0</v>
      </c>
      <c r="T24">
        <f t="shared" si="8"/>
        <v>0.016720994151622932</v>
      </c>
    </row>
    <row r="25" spans="1:20" ht="12.75">
      <c r="A25">
        <f>A23+dosc</f>
        <v>11.5</v>
      </c>
      <c r="B25">
        <f t="shared" si="0"/>
        <v>5.734648412698412</v>
      </c>
      <c r="C25">
        <f t="shared" si="1"/>
        <v>11.024574669187148</v>
      </c>
      <c r="D25">
        <f>lcm/A25</f>
        <v>219.1304347826087</v>
      </c>
      <c r="E25">
        <f t="shared" si="2"/>
        <v>1.0956521739130436</v>
      </c>
      <c r="F25">
        <f t="shared" si="3"/>
        <v>11.499999999999998</v>
      </c>
      <c r="G25">
        <f>G23+dx</f>
        <v>6</v>
      </c>
      <c r="H25">
        <f>H23+dy</f>
        <v>19</v>
      </c>
      <c r="J25">
        <f>1/9</f>
        <v>0.1111111111111111</v>
      </c>
      <c r="O25">
        <f t="shared" si="4"/>
        <v>0</v>
      </c>
      <c r="P25">
        <f t="shared" si="5"/>
        <v>1.6712989099055073</v>
      </c>
      <c r="Q25">
        <v>0</v>
      </c>
      <c r="R25">
        <f t="shared" si="6"/>
        <v>0.08696936867698471</v>
      </c>
      <c r="S25">
        <f t="shared" si="7"/>
        <v>0</v>
      </c>
      <c r="T25">
        <f t="shared" si="8"/>
        <v>0.019445708498498984</v>
      </c>
    </row>
    <row r="26" spans="2:20" ht="12.75">
      <c r="B26">
        <f t="shared" si="0"/>
        <v>5.734648412698412</v>
      </c>
      <c r="C26">
        <f t="shared" si="1"/>
        <v>11.024574669187148</v>
      </c>
      <c r="D26">
        <f>D25</f>
        <v>219.1304347826087</v>
      </c>
      <c r="E26">
        <f t="shared" si="2"/>
        <v>1.0956521739130436</v>
      </c>
      <c r="F26">
        <f t="shared" si="3"/>
        <v>11.499999999999998</v>
      </c>
      <c r="G26">
        <f>G25+C26*SIN(S25)-oscD</f>
        <v>6</v>
      </c>
      <c r="H26">
        <f>H25-SQRT(C26^2-MIN(C26^2,(G26-G25)^2))</f>
        <v>7.975425330812852</v>
      </c>
      <c r="M26">
        <f>G26</f>
        <v>6</v>
      </c>
      <c r="N26">
        <f>H26</f>
        <v>7.975425330812852</v>
      </c>
      <c r="O26">
        <f t="shared" si="4"/>
        <v>0</v>
      </c>
      <c r="P26">
        <f t="shared" si="5"/>
        <v>1.6712989099055073</v>
      </c>
      <c r="Q26">
        <v>0</v>
      </c>
      <c r="R26">
        <f t="shared" si="6"/>
        <v>0.08696936867698471</v>
      </c>
      <c r="S26">
        <f t="shared" si="7"/>
        <v>0</v>
      </c>
      <c r="T26">
        <f t="shared" si="8"/>
        <v>0.019445708498498984</v>
      </c>
    </row>
    <row r="27" spans="1:20" ht="12.75">
      <c r="A27">
        <f>A25+dosc</f>
        <v>12</v>
      </c>
      <c r="B27">
        <f t="shared" si="0"/>
        <v>5.983980952380953</v>
      </c>
      <c r="C27">
        <f t="shared" si="1"/>
        <v>10.124999999999998</v>
      </c>
      <c r="D27">
        <f>lcm/A27</f>
        <v>210</v>
      </c>
      <c r="E27">
        <f t="shared" si="2"/>
        <v>1.0499999999999998</v>
      </c>
      <c r="F27">
        <f t="shared" si="3"/>
        <v>12.000000000000002</v>
      </c>
      <c r="G27">
        <f>G25+dx</f>
        <v>7</v>
      </c>
      <c r="H27">
        <f>H25+dy</f>
        <v>19</v>
      </c>
      <c r="O27">
        <f t="shared" si="4"/>
        <v>0</v>
      </c>
      <c r="P27">
        <f t="shared" si="5"/>
        <v>1.678522963894191</v>
      </c>
      <c r="Q27">
        <v>0</v>
      </c>
      <c r="R27">
        <f t="shared" si="6"/>
        <v>0.08336277166266592</v>
      </c>
      <c r="S27">
        <f t="shared" si="7"/>
        <v>0</v>
      </c>
      <c r="T27">
        <f t="shared" si="8"/>
        <v>0.022689623257379093</v>
      </c>
    </row>
    <row r="28" spans="2:20" ht="12.75">
      <c r="B28">
        <f t="shared" si="0"/>
        <v>5.983980952380953</v>
      </c>
      <c r="C28">
        <f t="shared" si="1"/>
        <v>10.124999999999998</v>
      </c>
      <c r="D28">
        <f>D27</f>
        <v>210</v>
      </c>
      <c r="E28">
        <f t="shared" si="2"/>
        <v>1.0499999999999998</v>
      </c>
      <c r="F28">
        <f t="shared" si="3"/>
        <v>12.000000000000002</v>
      </c>
      <c r="G28">
        <f>G27+C28*SIN(S27)-oscD</f>
        <v>7</v>
      </c>
      <c r="H28">
        <f>H27-SQRT(C28^2-MIN(C28^2,(G28-G27)^2))</f>
        <v>8.875000000000002</v>
      </c>
      <c r="M28">
        <f>G28</f>
        <v>7</v>
      </c>
      <c r="N28">
        <f>H28</f>
        <v>8.875000000000002</v>
      </c>
      <c r="O28">
        <f t="shared" si="4"/>
        <v>0</v>
      </c>
      <c r="P28">
        <f t="shared" si="5"/>
        <v>1.678522963894191</v>
      </c>
      <c r="Q28">
        <v>0</v>
      </c>
      <c r="R28">
        <f t="shared" si="6"/>
        <v>0.08336277166266592</v>
      </c>
      <c r="S28">
        <f t="shared" si="7"/>
        <v>0</v>
      </c>
      <c r="T28">
        <f t="shared" si="8"/>
        <v>0.022689623257379093</v>
      </c>
    </row>
    <row r="29" spans="1:20" ht="12.75">
      <c r="A29">
        <f>A27+dosc</f>
        <v>12.5</v>
      </c>
      <c r="B29">
        <f t="shared" si="0"/>
        <v>6.233313492063492</v>
      </c>
      <c r="C29">
        <f t="shared" si="1"/>
        <v>9.331199999999999</v>
      </c>
      <c r="D29">
        <f>lcm/A29</f>
        <v>201.6</v>
      </c>
      <c r="E29">
        <f t="shared" si="2"/>
        <v>1.008</v>
      </c>
      <c r="F29">
        <f t="shared" si="3"/>
        <v>12.5</v>
      </c>
      <c r="G29">
        <f>G27+dx</f>
        <v>8</v>
      </c>
      <c r="H29">
        <f>H27+dy</f>
        <v>19</v>
      </c>
      <c r="O29">
        <f t="shared" si="4"/>
        <v>0</v>
      </c>
      <c r="P29">
        <f t="shared" si="5"/>
        <v>1.6872443225135103</v>
      </c>
      <c r="Q29">
        <v>0</v>
      </c>
      <c r="R29">
        <f t="shared" si="6"/>
        <v>0.08004277925690244</v>
      </c>
      <c r="S29">
        <f t="shared" si="7"/>
        <v>0</v>
      </c>
      <c r="T29">
        <f t="shared" si="8"/>
        <v>0.026604305032990865</v>
      </c>
    </row>
    <row r="30" spans="2:20" ht="12.75">
      <c r="B30">
        <f t="shared" si="0"/>
        <v>6.233313492063492</v>
      </c>
      <c r="C30">
        <f t="shared" si="1"/>
        <v>9.331199999999999</v>
      </c>
      <c r="D30">
        <f>D29</f>
        <v>201.6</v>
      </c>
      <c r="E30">
        <f t="shared" si="2"/>
        <v>1.008</v>
      </c>
      <c r="F30">
        <f t="shared" si="3"/>
        <v>12.5</v>
      </c>
      <c r="G30">
        <f>G29+C30*SIN(S29)-oscD</f>
        <v>8</v>
      </c>
      <c r="H30">
        <f>H29-SQRT(C30^2-MIN(C30^2,(G30-G29)^2))</f>
        <v>9.668800000000001</v>
      </c>
      <c r="M30">
        <f>G30</f>
        <v>8</v>
      </c>
      <c r="N30">
        <f>H30</f>
        <v>9.668800000000001</v>
      </c>
      <c r="O30">
        <f t="shared" si="4"/>
        <v>0</v>
      </c>
      <c r="P30">
        <f t="shared" si="5"/>
        <v>1.6872443225135103</v>
      </c>
      <c r="Q30">
        <v>0</v>
      </c>
      <c r="R30">
        <f t="shared" si="6"/>
        <v>0.08004277925690244</v>
      </c>
      <c r="S30">
        <f t="shared" si="7"/>
        <v>0</v>
      </c>
      <c r="T30">
        <f t="shared" si="8"/>
        <v>0.026604305032990865</v>
      </c>
    </row>
    <row r="31" spans="1:20" ht="12.75">
      <c r="A31">
        <f>A29+dosc</f>
        <v>13</v>
      </c>
      <c r="B31">
        <f t="shared" si="0"/>
        <v>6.4826460317460315</v>
      </c>
      <c r="C31">
        <f t="shared" si="1"/>
        <v>8.627218934911244</v>
      </c>
      <c r="D31">
        <f>lcm/A31</f>
        <v>193.84615384615384</v>
      </c>
      <c r="E31">
        <f t="shared" si="2"/>
        <v>0.9692307692307692</v>
      </c>
      <c r="F31">
        <f t="shared" si="3"/>
        <v>13</v>
      </c>
      <c r="G31">
        <f>G29+dx</f>
        <v>9</v>
      </c>
      <c r="H31">
        <f>H29+dy</f>
        <v>19</v>
      </c>
      <c r="O31">
        <f t="shared" si="4"/>
        <v>0</v>
      </c>
      <c r="P31">
        <f t="shared" si="5"/>
        <v>1.6979505652924116</v>
      </c>
      <c r="Q31">
        <v>0</v>
      </c>
      <c r="R31">
        <f t="shared" si="6"/>
        <v>0.07697659892133905</v>
      </c>
      <c r="S31">
        <f t="shared" si="7"/>
        <v>0</v>
      </c>
      <c r="T31">
        <f t="shared" si="8"/>
        <v>0.03140713570722489</v>
      </c>
    </row>
    <row r="32" spans="2:20" ht="12.75">
      <c r="B32">
        <f t="shared" si="0"/>
        <v>6.4826460317460315</v>
      </c>
      <c r="C32">
        <f t="shared" si="1"/>
        <v>8.627218934911244</v>
      </c>
      <c r="D32">
        <f>D31</f>
        <v>193.84615384615384</v>
      </c>
      <c r="E32">
        <f t="shared" si="2"/>
        <v>0.9692307692307692</v>
      </c>
      <c r="F32">
        <f t="shared" si="3"/>
        <v>13</v>
      </c>
      <c r="G32">
        <f>G31+C32*SIN(S31)-oscD</f>
        <v>9</v>
      </c>
      <c r="H32">
        <f>H31-SQRT(C32^2-MIN(C32^2,(G32-G31)^2))</f>
        <v>10.372781065088756</v>
      </c>
      <c r="M32">
        <f>G32</f>
        <v>9</v>
      </c>
      <c r="N32">
        <f>H32</f>
        <v>10.372781065088756</v>
      </c>
      <c r="O32">
        <f t="shared" si="4"/>
        <v>0</v>
      </c>
      <c r="P32">
        <f t="shared" si="5"/>
        <v>1.6979505652924116</v>
      </c>
      <c r="Q32">
        <v>0</v>
      </c>
      <c r="R32">
        <f t="shared" si="6"/>
        <v>0.07697659892133905</v>
      </c>
      <c r="S32">
        <f t="shared" si="7"/>
        <v>0</v>
      </c>
      <c r="T32">
        <f t="shared" si="8"/>
        <v>0.03140713570722489</v>
      </c>
    </row>
    <row r="33" spans="1:20" ht="12.75">
      <c r="A33">
        <f>A31+dosc</f>
        <v>13.5</v>
      </c>
      <c r="B33">
        <f>omegaF*2*pi/D33</f>
        <v>6.731978571428572</v>
      </c>
      <c r="C33">
        <f t="shared" si="1"/>
        <v>8</v>
      </c>
      <c r="D33">
        <f>lcm/A33</f>
        <v>186.66666666666666</v>
      </c>
      <c r="E33">
        <f>(2*pi/B33)</f>
        <v>0.9333333333333332</v>
      </c>
      <c r="F33">
        <f t="shared" si="3"/>
        <v>13.5</v>
      </c>
      <c r="G33">
        <f>G31+dx</f>
        <v>10</v>
      </c>
      <c r="H33">
        <f>H31+dy</f>
        <v>19</v>
      </c>
      <c r="O33">
        <f t="shared" si="4"/>
        <v>0</v>
      </c>
      <c r="P33">
        <f t="shared" si="5"/>
        <v>1.7113677719991718</v>
      </c>
      <c r="Q33">
        <v>0</v>
      </c>
      <c r="R33">
        <f t="shared" si="6"/>
        <v>0.07413624810844444</v>
      </c>
      <c r="S33">
        <f t="shared" si="7"/>
        <v>0</v>
      </c>
      <c r="T33">
        <f t="shared" si="8"/>
        <v>0.0374209736048242</v>
      </c>
    </row>
    <row r="34" spans="2:20" ht="12.75">
      <c r="B34">
        <f>omegaF*2*pi/D34</f>
        <v>6.731978571428572</v>
      </c>
      <c r="C34">
        <f t="shared" si="1"/>
        <v>8</v>
      </c>
      <c r="D34">
        <f>D33</f>
        <v>186.66666666666666</v>
      </c>
      <c r="E34">
        <f>(2*pi/B34)</f>
        <v>0.9333333333333332</v>
      </c>
      <c r="F34">
        <f t="shared" si="3"/>
        <v>13.5</v>
      </c>
      <c r="G34">
        <f>G33+C34*SIN(S33)-oscD</f>
        <v>10</v>
      </c>
      <c r="H34">
        <f>H33-SQRT(C34^2-MIN(C34^2,(G34-G33)^2))</f>
        <v>11</v>
      </c>
      <c r="M34">
        <f>G34</f>
        <v>10</v>
      </c>
      <c r="N34">
        <f>H34</f>
        <v>11</v>
      </c>
      <c r="O34">
        <f t="shared" si="4"/>
        <v>0</v>
      </c>
      <c r="P34">
        <f t="shared" si="5"/>
        <v>1.7113677719991718</v>
      </c>
      <c r="Q34">
        <v>0</v>
      </c>
      <c r="R34">
        <f t="shared" si="6"/>
        <v>0.07413624810844444</v>
      </c>
      <c r="S34">
        <f t="shared" si="7"/>
        <v>0</v>
      </c>
      <c r="T34">
        <f t="shared" si="8"/>
        <v>0.0374209736048242</v>
      </c>
    </row>
    <row r="35" spans="1:20" ht="12.75">
      <c r="A35">
        <f>A33+dosc</f>
        <v>14</v>
      </c>
      <c r="B35">
        <f>omegaF*2*pi/D35</f>
        <v>6.981311111111111</v>
      </c>
      <c r="C35">
        <f t="shared" si="1"/>
        <v>7.438775510204081</v>
      </c>
      <c r="D35">
        <f>lcm/A35</f>
        <v>180</v>
      </c>
      <c r="E35">
        <f>(2*pi/B35)</f>
        <v>0.8999999999999999</v>
      </c>
      <c r="F35">
        <f t="shared" si="3"/>
        <v>14.000000000000002</v>
      </c>
      <c r="G35">
        <f>G33+dx</f>
        <v>11</v>
      </c>
      <c r="H35">
        <f>H33+dy</f>
        <v>19</v>
      </c>
      <c r="O35">
        <f t="shared" si="4"/>
        <v>0</v>
      </c>
      <c r="P35">
        <f t="shared" si="5"/>
        <v>1.7286252888060507</v>
      </c>
      <c r="Q35">
        <v>0</v>
      </c>
      <c r="R35">
        <f t="shared" si="6"/>
        <v>0.07149770502860202</v>
      </c>
      <c r="S35">
        <f t="shared" si="7"/>
        <v>0</v>
      </c>
      <c r="T35">
        <f t="shared" si="8"/>
        <v>0.04514607869914131</v>
      </c>
    </row>
    <row r="36" spans="2:20" ht="12.75">
      <c r="B36">
        <f>omegaF*2*pi/D36</f>
        <v>6.981311111111111</v>
      </c>
      <c r="C36">
        <f t="shared" si="1"/>
        <v>7.438775510204081</v>
      </c>
      <c r="D36">
        <f>D35</f>
        <v>180</v>
      </c>
      <c r="E36">
        <f>(2*pi/B36)</f>
        <v>0.8999999999999999</v>
      </c>
      <c r="F36">
        <f t="shared" si="3"/>
        <v>14.000000000000002</v>
      </c>
      <c r="G36">
        <f>G35+C36*SIN(S35)-oscD</f>
        <v>11</v>
      </c>
      <c r="H36">
        <f>H35-SQRT(C36^2-MIN(C36^2,(G36-G35)^2))</f>
        <v>11.561224489795919</v>
      </c>
      <c r="M36">
        <f>G36</f>
        <v>11</v>
      </c>
      <c r="N36">
        <f>H36</f>
        <v>11.561224489795919</v>
      </c>
      <c r="O36">
        <f t="shared" si="4"/>
        <v>0</v>
      </c>
      <c r="P36">
        <f t="shared" si="5"/>
        <v>1.7286252888060507</v>
      </c>
      <c r="Q36">
        <v>0</v>
      </c>
      <c r="R36">
        <f t="shared" si="6"/>
        <v>0.07149770502860202</v>
      </c>
      <c r="S36">
        <f t="shared" si="7"/>
        <v>0</v>
      </c>
      <c r="T36">
        <f t="shared" si="8"/>
        <v>0.04514607869914131</v>
      </c>
    </row>
    <row r="37" spans="1:20" ht="12.75">
      <c r="A37">
        <f>A35+dosc</f>
        <v>14.5</v>
      </c>
      <c r="B37">
        <f aca="true" t="shared" si="9" ref="B37:B44">omegaF*2*pi/D37</f>
        <v>7.23064365079365</v>
      </c>
      <c r="C37">
        <f t="shared" si="1"/>
        <v>6.934601664684902</v>
      </c>
      <c r="D37">
        <f>lcm/A37</f>
        <v>173.79310344827587</v>
      </c>
      <c r="E37">
        <f aca="true" t="shared" si="10" ref="E37:E44">(2*pi/B37)</f>
        <v>0.8689655172413794</v>
      </c>
      <c r="F37">
        <f t="shared" si="3"/>
        <v>14.5</v>
      </c>
      <c r="G37">
        <f>G35+dx</f>
        <v>12</v>
      </c>
      <c r="H37">
        <f>H35+dy</f>
        <v>19</v>
      </c>
      <c r="O37">
        <f t="shared" si="4"/>
        <v>0</v>
      </c>
      <c r="P37">
        <f t="shared" si="5"/>
        <v>1.751577500478825</v>
      </c>
      <c r="Q37">
        <v>0</v>
      </c>
      <c r="R37">
        <f t="shared" si="6"/>
        <v>0.0690402329201739</v>
      </c>
      <c r="S37">
        <f t="shared" si="7"/>
        <v>0</v>
      </c>
      <c r="T37">
        <f t="shared" si="8"/>
        <v>0.05539916794930062</v>
      </c>
    </row>
    <row r="38" spans="2:20" ht="12.75">
      <c r="B38">
        <f t="shared" si="9"/>
        <v>7.23064365079365</v>
      </c>
      <c r="C38">
        <f t="shared" si="1"/>
        <v>6.934601664684902</v>
      </c>
      <c r="D38">
        <f>D37</f>
        <v>173.79310344827587</v>
      </c>
      <c r="E38">
        <f t="shared" si="10"/>
        <v>0.8689655172413794</v>
      </c>
      <c r="F38">
        <f t="shared" si="3"/>
        <v>14.5</v>
      </c>
      <c r="G38">
        <f>G37+C38*SIN(S37)-oscD</f>
        <v>12</v>
      </c>
      <c r="H38">
        <f>H37-SQRT(C38^2-MIN(C38^2,(G38-G37)^2))</f>
        <v>12.065398335315098</v>
      </c>
      <c r="M38">
        <f>G38</f>
        <v>12</v>
      </c>
      <c r="N38">
        <f>H38</f>
        <v>12.065398335315098</v>
      </c>
      <c r="O38">
        <f t="shared" si="4"/>
        <v>0</v>
      </c>
      <c r="P38">
        <f t="shared" si="5"/>
        <v>1.751577500478825</v>
      </c>
      <c r="Q38">
        <v>0</v>
      </c>
      <c r="R38">
        <f t="shared" si="6"/>
        <v>0.0690402329201739</v>
      </c>
      <c r="S38">
        <f t="shared" si="7"/>
        <v>0</v>
      </c>
      <c r="T38">
        <f t="shared" si="8"/>
        <v>0.05539916794930062</v>
      </c>
    </row>
    <row r="39" spans="1:20" ht="12.75">
      <c r="A39">
        <f>A37+dosc</f>
        <v>15</v>
      </c>
      <c r="B39">
        <f t="shared" si="9"/>
        <v>7.47997619047619</v>
      </c>
      <c r="C39">
        <f t="shared" si="1"/>
        <v>6.480000000000001</v>
      </c>
      <c r="D39">
        <f>lcm/A39</f>
        <v>168</v>
      </c>
      <c r="E39">
        <f t="shared" si="10"/>
        <v>0.84</v>
      </c>
      <c r="F39">
        <f t="shared" si="3"/>
        <v>15</v>
      </c>
      <c r="G39">
        <f>G37+dx</f>
        <v>13</v>
      </c>
      <c r="H39">
        <f>H37+dy</f>
        <v>19</v>
      </c>
      <c r="O39">
        <f t="shared" si="4"/>
        <v>0</v>
      </c>
      <c r="P39">
        <f t="shared" si="5"/>
        <v>1.7834871802576049</v>
      </c>
      <c r="Q39">
        <v>0</v>
      </c>
      <c r="R39">
        <f t="shared" si="6"/>
        <v>0.06674583789089165</v>
      </c>
      <c r="S39">
        <f t="shared" si="7"/>
        <v>0</v>
      </c>
      <c r="T39">
        <f t="shared" si="8"/>
        <v>0.06960414567388572</v>
      </c>
    </row>
    <row r="40" spans="2:20" ht="12.75">
      <c r="B40">
        <f t="shared" si="9"/>
        <v>7.47997619047619</v>
      </c>
      <c r="C40">
        <f t="shared" si="1"/>
        <v>6.480000000000001</v>
      </c>
      <c r="D40">
        <f>D39</f>
        <v>168</v>
      </c>
      <c r="E40">
        <f t="shared" si="10"/>
        <v>0.84</v>
      </c>
      <c r="F40">
        <f t="shared" si="3"/>
        <v>15</v>
      </c>
      <c r="G40">
        <f>G39+C40*SIN(S39)-oscD</f>
        <v>13</v>
      </c>
      <c r="H40">
        <f>H39-SQRT(C40^2-MIN(C40^2,(G40-G39)^2))</f>
        <v>12.52</v>
      </c>
      <c r="M40">
        <f>G40</f>
        <v>13</v>
      </c>
      <c r="N40">
        <f>H40</f>
        <v>12.52</v>
      </c>
      <c r="O40">
        <f t="shared" si="4"/>
        <v>0</v>
      </c>
      <c r="P40">
        <f t="shared" si="5"/>
        <v>1.7834871802576049</v>
      </c>
      <c r="Q40">
        <v>0</v>
      </c>
      <c r="R40">
        <f t="shared" si="6"/>
        <v>0.06674583789089165</v>
      </c>
      <c r="S40">
        <f t="shared" si="7"/>
        <v>0</v>
      </c>
      <c r="T40">
        <f t="shared" si="8"/>
        <v>0.06960414567388572</v>
      </c>
    </row>
    <row r="41" spans="1:20" ht="12.75">
      <c r="A41">
        <f>A39+dosc</f>
        <v>15.5</v>
      </c>
      <c r="B41">
        <f t="shared" si="9"/>
        <v>7.7293087301587295</v>
      </c>
      <c r="C41">
        <f t="shared" si="1"/>
        <v>6.0686784599375665</v>
      </c>
      <c r="D41">
        <f>lcm/A41</f>
        <v>162.58064516129033</v>
      </c>
      <c r="E41">
        <f t="shared" si="10"/>
        <v>0.8129032258064517</v>
      </c>
      <c r="F41">
        <f t="shared" si="3"/>
        <v>15.499999999999998</v>
      </c>
      <c r="G41">
        <f>G39+dx</f>
        <v>14</v>
      </c>
      <c r="H41">
        <f>H39+dy</f>
        <v>19</v>
      </c>
      <c r="O41">
        <f t="shared" si="4"/>
        <v>0</v>
      </c>
      <c r="P41">
        <f t="shared" si="5"/>
        <v>1.8306407547039216</v>
      </c>
      <c r="Q41">
        <v>0</v>
      </c>
      <c r="R41">
        <f t="shared" si="6"/>
        <v>0.06459883055274115</v>
      </c>
      <c r="S41">
        <f t="shared" si="7"/>
        <v>0</v>
      </c>
      <c r="T41">
        <f t="shared" si="8"/>
        <v>0.09046146689975886</v>
      </c>
    </row>
    <row r="42" spans="2:20" ht="12.75">
      <c r="B42">
        <f t="shared" si="9"/>
        <v>7.7293087301587295</v>
      </c>
      <c r="C42">
        <f t="shared" si="1"/>
        <v>6.0686784599375665</v>
      </c>
      <c r="D42">
        <f>D41</f>
        <v>162.58064516129033</v>
      </c>
      <c r="E42">
        <f t="shared" si="10"/>
        <v>0.8129032258064517</v>
      </c>
      <c r="F42">
        <f t="shared" si="3"/>
        <v>15.499999999999998</v>
      </c>
      <c r="G42">
        <f>G41+C42*SIN(S41)-oscD</f>
        <v>14</v>
      </c>
      <c r="H42">
        <f>H41-SQRT(C42^2-MIN(C42^2,(G42-G41)^2))</f>
        <v>12.931321540062434</v>
      </c>
      <c r="M42">
        <f>G42</f>
        <v>14</v>
      </c>
      <c r="N42">
        <f>H42</f>
        <v>12.931321540062434</v>
      </c>
      <c r="O42">
        <f t="shared" si="4"/>
        <v>0</v>
      </c>
      <c r="P42">
        <f t="shared" si="5"/>
        <v>1.8306407547039216</v>
      </c>
      <c r="Q42">
        <v>0</v>
      </c>
      <c r="R42">
        <f t="shared" si="6"/>
        <v>0.06459883055274115</v>
      </c>
      <c r="S42">
        <f t="shared" si="7"/>
        <v>0</v>
      </c>
      <c r="T42">
        <f t="shared" si="8"/>
        <v>0.09046146689975886</v>
      </c>
    </row>
    <row r="43" spans="1:20" ht="12.75">
      <c r="A43">
        <f>A41+dosc</f>
        <v>16</v>
      </c>
      <c r="B43">
        <f t="shared" si="9"/>
        <v>7.97864126984127</v>
      </c>
      <c r="C43">
        <f t="shared" si="1"/>
        <v>5.695312500000001</v>
      </c>
      <c r="D43">
        <f>lcm/A43</f>
        <v>157.5</v>
      </c>
      <c r="E43">
        <f t="shared" si="10"/>
        <v>0.7875</v>
      </c>
      <c r="F43">
        <f t="shared" si="3"/>
        <v>16</v>
      </c>
      <c r="G43">
        <f>G41+dx</f>
        <v>15</v>
      </c>
      <c r="H43">
        <f>H41+dy</f>
        <v>19</v>
      </c>
      <c r="O43">
        <f t="shared" si="4"/>
        <v>0</v>
      </c>
      <c r="P43">
        <f t="shared" si="5"/>
        <v>1.9067389505382346</v>
      </c>
      <c r="Q43">
        <v>0</v>
      </c>
      <c r="R43">
        <f t="shared" si="6"/>
        <v>0.06258546901511128</v>
      </c>
      <c r="S43">
        <f t="shared" si="7"/>
        <v>0</v>
      </c>
      <c r="T43">
        <f t="shared" si="8"/>
        <v>0.12367862325674889</v>
      </c>
    </row>
    <row r="44" spans="2:20" ht="12.75">
      <c r="B44">
        <f t="shared" si="9"/>
        <v>7.97864126984127</v>
      </c>
      <c r="C44">
        <f t="shared" si="1"/>
        <v>5.695312500000001</v>
      </c>
      <c r="D44">
        <f>D43</f>
        <v>157.5</v>
      </c>
      <c r="E44">
        <f t="shared" si="10"/>
        <v>0.7875</v>
      </c>
      <c r="F44">
        <f t="shared" si="3"/>
        <v>16</v>
      </c>
      <c r="G44">
        <f>G43+C44*SIN(S43)-oscD</f>
        <v>15</v>
      </c>
      <c r="H44">
        <f>H43-SQRT(C44^2-MIN(C44^2,(G44-G43)^2))</f>
        <v>13.3046875</v>
      </c>
      <c r="M44">
        <f>G44</f>
        <v>15</v>
      </c>
      <c r="N44">
        <f>H44</f>
        <v>13.3046875</v>
      </c>
      <c r="O44">
        <f t="shared" si="4"/>
        <v>0</v>
      </c>
      <c r="P44">
        <f t="shared" si="5"/>
        <v>1.9067389505382346</v>
      </c>
      <c r="Q44">
        <v>0</v>
      </c>
      <c r="R44">
        <f t="shared" si="6"/>
        <v>0.06258546901511128</v>
      </c>
      <c r="S44">
        <f t="shared" si="7"/>
        <v>0</v>
      </c>
      <c r="T44">
        <f t="shared" si="8"/>
        <v>0.12367862325674889</v>
      </c>
    </row>
    <row r="45" spans="1:20" ht="12.75">
      <c r="A45">
        <f>A43+dosc</f>
        <v>16.5</v>
      </c>
      <c r="B45">
        <f aca="true" t="shared" si="11" ref="B45:B52">omegaF*2*pi/D45</f>
        <v>8.22797380952381</v>
      </c>
      <c r="C45">
        <f t="shared" si="1"/>
        <v>5.355371900826446</v>
      </c>
      <c r="D45">
        <f>lcm/A45</f>
        <v>152.72727272727272</v>
      </c>
      <c r="E45">
        <f aca="true" t="shared" si="12" ref="E45:E52">(2*pi/B45)</f>
        <v>0.7636363636363636</v>
      </c>
      <c r="F45">
        <f t="shared" si="3"/>
        <v>16.5</v>
      </c>
      <c r="G45">
        <f>G43+dx</f>
        <v>16</v>
      </c>
      <c r="H45">
        <f>H43+dy</f>
        <v>19</v>
      </c>
      <c r="O45">
        <f t="shared" si="4"/>
        <v>0</v>
      </c>
      <c r="P45">
        <f t="shared" si="5"/>
        <v>2.0471981530912426</v>
      </c>
      <c r="Q45">
        <v>0</v>
      </c>
      <c r="R45">
        <f t="shared" si="6"/>
        <v>0.060693666170232044</v>
      </c>
      <c r="S45">
        <f t="shared" si="7"/>
        <v>0</v>
      </c>
      <c r="T45">
        <f t="shared" si="8"/>
        <v>0.18297335738902706</v>
      </c>
    </row>
    <row r="46" spans="2:20" ht="12.75">
      <c r="B46">
        <f t="shared" si="11"/>
        <v>8.22797380952381</v>
      </c>
      <c r="C46">
        <f t="shared" si="1"/>
        <v>5.355371900826446</v>
      </c>
      <c r="D46">
        <f>D45</f>
        <v>152.72727272727272</v>
      </c>
      <c r="E46">
        <f t="shared" si="12"/>
        <v>0.7636363636363636</v>
      </c>
      <c r="F46">
        <f t="shared" si="3"/>
        <v>16.5</v>
      </c>
      <c r="G46">
        <f>G45+C46*SIN(S45)-oscD</f>
        <v>16</v>
      </c>
      <c r="H46">
        <f>H45-SQRT(C46^2-MIN(C46^2,(G46-G45)^2))</f>
        <v>13.644628099173554</v>
      </c>
      <c r="M46">
        <f>G46</f>
        <v>16</v>
      </c>
      <c r="N46">
        <f>H46</f>
        <v>13.644628099173554</v>
      </c>
      <c r="O46">
        <f t="shared" si="4"/>
        <v>0</v>
      </c>
      <c r="P46">
        <f t="shared" si="5"/>
        <v>2.0471981530912426</v>
      </c>
      <c r="Q46">
        <v>0</v>
      </c>
      <c r="R46">
        <f t="shared" si="6"/>
        <v>0.060693666170232044</v>
      </c>
      <c r="S46">
        <f t="shared" si="7"/>
        <v>0</v>
      </c>
      <c r="T46">
        <f t="shared" si="8"/>
        <v>0.18297335738902706</v>
      </c>
    </row>
    <row r="47" spans="1:20" ht="12.75">
      <c r="A47">
        <f>A45+dosc</f>
        <v>17</v>
      </c>
      <c r="B47">
        <f t="shared" si="11"/>
        <v>8.477306349206348</v>
      </c>
      <c r="C47">
        <f t="shared" si="1"/>
        <v>5.044982698961939</v>
      </c>
      <c r="D47">
        <f>lcm/A47</f>
        <v>148.23529411764707</v>
      </c>
      <c r="E47">
        <f t="shared" si="12"/>
        <v>0.7411764705882354</v>
      </c>
      <c r="F47">
        <f t="shared" si="3"/>
        <v>16.999999999999996</v>
      </c>
      <c r="G47">
        <f>G45+dx</f>
        <v>17</v>
      </c>
      <c r="H47">
        <f>H45+dy</f>
        <v>19</v>
      </c>
      <c r="O47">
        <f t="shared" si="4"/>
        <v>0</v>
      </c>
      <c r="P47">
        <f t="shared" si="5"/>
        <v>2.364588009667475</v>
      </c>
      <c r="Q47">
        <v>0</v>
      </c>
      <c r="R47">
        <f t="shared" si="6"/>
        <v>0.05891274817229563</v>
      </c>
      <c r="S47">
        <f t="shared" si="7"/>
        <v>0</v>
      </c>
      <c r="T47">
        <f t="shared" si="8"/>
        <v>0.3020171506323394</v>
      </c>
    </row>
    <row r="48" spans="2:20" ht="12.75">
      <c r="B48">
        <f t="shared" si="11"/>
        <v>8.477306349206348</v>
      </c>
      <c r="C48">
        <f t="shared" si="1"/>
        <v>5.044982698961939</v>
      </c>
      <c r="D48">
        <f>D47</f>
        <v>148.23529411764707</v>
      </c>
      <c r="E48">
        <f t="shared" si="12"/>
        <v>0.7411764705882354</v>
      </c>
      <c r="F48">
        <f t="shared" si="3"/>
        <v>16.999999999999996</v>
      </c>
      <c r="G48">
        <f>G47+C48*SIN(S47)-oscD</f>
        <v>17</v>
      </c>
      <c r="H48">
        <f>H47-SQRT(C48^2-MIN(C48^2,(G48-G47)^2))</f>
        <v>13.955017301038062</v>
      </c>
      <c r="M48">
        <f>G48</f>
        <v>17</v>
      </c>
      <c r="N48">
        <f>H48</f>
        <v>13.955017301038062</v>
      </c>
      <c r="O48">
        <f t="shared" si="4"/>
        <v>0</v>
      </c>
      <c r="P48">
        <f t="shared" si="5"/>
        <v>2.364588009667475</v>
      </c>
      <c r="Q48">
        <v>0</v>
      </c>
      <c r="R48">
        <f t="shared" si="6"/>
        <v>0.05891274817229563</v>
      </c>
      <c r="S48">
        <f t="shared" si="7"/>
        <v>0</v>
      </c>
      <c r="T48">
        <f t="shared" si="8"/>
        <v>0.3020171506323394</v>
      </c>
    </row>
    <row r="49" spans="1:20" ht="12.75">
      <c r="A49">
        <f>A47+dosc</f>
        <v>17.5</v>
      </c>
      <c r="B49">
        <f t="shared" si="11"/>
        <v>8.726638888888889</v>
      </c>
      <c r="C49">
        <f t="shared" si="1"/>
        <v>4.7608163265306125</v>
      </c>
      <c r="D49">
        <f>lcm/A49</f>
        <v>144</v>
      </c>
      <c r="E49">
        <f t="shared" si="12"/>
        <v>0.72</v>
      </c>
      <c r="F49">
        <f t="shared" si="3"/>
        <v>17.5</v>
      </c>
      <c r="G49">
        <f>G47+dx</f>
        <v>18</v>
      </c>
      <c r="H49">
        <f>H47+dy</f>
        <v>19</v>
      </c>
      <c r="O49">
        <f t="shared" si="4"/>
        <v>0</v>
      </c>
      <c r="P49">
        <f t="shared" si="5"/>
        <v>3.1186770069843517</v>
      </c>
      <c r="Q49">
        <v>0</v>
      </c>
      <c r="R49">
        <f t="shared" si="6"/>
        <v>0.057233253971900655</v>
      </c>
      <c r="S49">
        <f t="shared" si="7"/>
        <v>0</v>
      </c>
      <c r="T49">
        <f t="shared" si="8"/>
        <v>0.44879857142857155</v>
      </c>
    </row>
    <row r="50" spans="2:20" ht="12.75">
      <c r="B50">
        <f t="shared" si="11"/>
        <v>8.726638888888889</v>
      </c>
      <c r="C50">
        <f t="shared" si="1"/>
        <v>4.7608163265306125</v>
      </c>
      <c r="D50">
        <f>D49</f>
        <v>144</v>
      </c>
      <c r="E50">
        <f t="shared" si="12"/>
        <v>0.72</v>
      </c>
      <c r="F50">
        <f t="shared" si="3"/>
        <v>17.5</v>
      </c>
      <c r="G50">
        <f>G49+C50*SIN(S49)-oscD</f>
        <v>18</v>
      </c>
      <c r="H50">
        <f>H49-SQRT(C50^2-MIN(C50^2,(G50-G49)^2))</f>
        <v>14.239183673469388</v>
      </c>
      <c r="M50">
        <f>G50</f>
        <v>18</v>
      </c>
      <c r="N50">
        <f>H50</f>
        <v>14.239183673469388</v>
      </c>
      <c r="O50">
        <f t="shared" si="4"/>
        <v>0</v>
      </c>
      <c r="P50">
        <f t="shared" si="5"/>
        <v>3.1186770069843517</v>
      </c>
      <c r="Q50">
        <v>0</v>
      </c>
      <c r="R50">
        <f t="shared" si="6"/>
        <v>0.057233253971900655</v>
      </c>
      <c r="S50">
        <f t="shared" si="7"/>
        <v>0</v>
      </c>
      <c r="T50">
        <f t="shared" si="8"/>
        <v>0.44879857142857155</v>
      </c>
    </row>
    <row r="51" spans="1:20" ht="12.75">
      <c r="A51">
        <f>A49+dosc</f>
        <v>18</v>
      </c>
      <c r="B51">
        <f t="shared" si="11"/>
        <v>8.975971428571428</v>
      </c>
      <c r="C51">
        <f t="shared" si="1"/>
        <v>4.5</v>
      </c>
      <c r="D51">
        <f>lcm/A51</f>
        <v>140</v>
      </c>
      <c r="E51">
        <f t="shared" si="12"/>
        <v>0.7</v>
      </c>
      <c r="F51">
        <f t="shared" si="3"/>
        <v>18</v>
      </c>
      <c r="G51">
        <f>G49+dx</f>
        <v>19</v>
      </c>
      <c r="H51">
        <f>H49+dy</f>
        <v>19</v>
      </c>
      <c r="O51">
        <f t="shared" si="4"/>
        <v>0</v>
      </c>
      <c r="P51">
        <f t="shared" si="5"/>
        <v>2.350309396571602</v>
      </c>
      <c r="Q51">
        <v>0</v>
      </c>
      <c r="R51">
        <f t="shared" si="6"/>
        <v>0.05564676799654934</v>
      </c>
      <c r="S51">
        <f t="shared" si="7"/>
        <v>0</v>
      </c>
      <c r="T51">
        <f t="shared" si="8"/>
        <v>0.3338038672735748</v>
      </c>
    </row>
    <row r="52" spans="2:20" ht="12.75">
      <c r="B52">
        <f t="shared" si="11"/>
        <v>8.975971428571428</v>
      </c>
      <c r="C52">
        <f t="shared" si="1"/>
        <v>4.5</v>
      </c>
      <c r="D52">
        <f>D51</f>
        <v>140</v>
      </c>
      <c r="E52">
        <f t="shared" si="12"/>
        <v>0.7</v>
      </c>
      <c r="F52">
        <f t="shared" si="3"/>
        <v>18</v>
      </c>
      <c r="G52">
        <f>G51+C52*SIN(S51)-oscD</f>
        <v>19</v>
      </c>
      <c r="H52">
        <f>H51-SQRT(C52^2-MIN(C52^2,(G52-G51)^2))</f>
        <v>14.5</v>
      </c>
      <c r="M52">
        <f>G52</f>
        <v>19</v>
      </c>
      <c r="N52">
        <f>H52</f>
        <v>14.5</v>
      </c>
      <c r="O52">
        <f t="shared" si="4"/>
        <v>0</v>
      </c>
      <c r="P52">
        <f t="shared" si="5"/>
        <v>2.350309396571602</v>
      </c>
      <c r="Q52">
        <v>0</v>
      </c>
      <c r="R52">
        <f t="shared" si="6"/>
        <v>0.05564676799654934</v>
      </c>
      <c r="S52">
        <f t="shared" si="7"/>
        <v>0</v>
      </c>
      <c r="T52">
        <f t="shared" si="8"/>
        <v>0.3338038672735748</v>
      </c>
    </row>
    <row r="57" ht="12.75">
      <c r="F57" t="s">
        <v>23</v>
      </c>
    </row>
    <row r="58" spans="6:7" ht="12.75">
      <c r="F58">
        <f>F59-7</f>
        <v>-6</v>
      </c>
      <c r="G58">
        <f>G59-dy*(F59-F58)/dx</f>
        <v>19</v>
      </c>
    </row>
    <row r="59" spans="6:7" ht="12.75">
      <c r="F59">
        <f>G15</f>
        <v>1</v>
      </c>
      <c r="G59">
        <f>H15</f>
        <v>19</v>
      </c>
    </row>
    <row r="60" spans="6:7" ht="12.75">
      <c r="F60">
        <f aca="true" t="shared" si="13" ref="F60:F77">F59+dx</f>
        <v>2</v>
      </c>
      <c r="G60">
        <f aca="true" t="shared" si="14" ref="G60:G77">G59+dy</f>
        <v>19</v>
      </c>
    </row>
    <row r="61" spans="6:7" ht="12.75">
      <c r="F61">
        <f t="shared" si="13"/>
        <v>3</v>
      </c>
      <c r="G61">
        <f t="shared" si="14"/>
        <v>19</v>
      </c>
    </row>
    <row r="62" spans="6:7" ht="12.75">
      <c r="F62">
        <f t="shared" si="13"/>
        <v>4</v>
      </c>
      <c r="G62">
        <f t="shared" si="14"/>
        <v>19</v>
      </c>
    </row>
    <row r="63" spans="6:7" ht="12.75">
      <c r="F63">
        <f t="shared" si="13"/>
        <v>5</v>
      </c>
      <c r="G63">
        <f t="shared" si="14"/>
        <v>19</v>
      </c>
    </row>
    <row r="64" spans="6:7" ht="12.75">
      <c r="F64">
        <f t="shared" si="13"/>
        <v>6</v>
      </c>
      <c r="G64">
        <f t="shared" si="14"/>
        <v>19</v>
      </c>
    </row>
    <row r="65" spans="6:7" ht="12.75">
      <c r="F65">
        <f t="shared" si="13"/>
        <v>7</v>
      </c>
      <c r="G65">
        <f t="shared" si="14"/>
        <v>19</v>
      </c>
    </row>
    <row r="66" spans="6:7" ht="12.75">
      <c r="F66">
        <f t="shared" si="13"/>
        <v>8</v>
      </c>
      <c r="G66">
        <f t="shared" si="14"/>
        <v>19</v>
      </c>
    </row>
    <row r="67" spans="6:7" ht="12.75">
      <c r="F67">
        <f t="shared" si="13"/>
        <v>9</v>
      </c>
      <c r="G67">
        <f t="shared" si="14"/>
        <v>19</v>
      </c>
    </row>
    <row r="68" spans="6:7" ht="12.75">
      <c r="F68">
        <f t="shared" si="13"/>
        <v>10</v>
      </c>
      <c r="G68">
        <f t="shared" si="14"/>
        <v>19</v>
      </c>
    </row>
    <row r="69" spans="6:7" ht="12.75">
      <c r="F69">
        <f t="shared" si="13"/>
        <v>11</v>
      </c>
      <c r="G69">
        <f t="shared" si="14"/>
        <v>19</v>
      </c>
    </row>
    <row r="70" spans="6:7" ht="12.75">
      <c r="F70">
        <f t="shared" si="13"/>
        <v>12</v>
      </c>
      <c r="G70">
        <f t="shared" si="14"/>
        <v>19</v>
      </c>
    </row>
    <row r="71" spans="6:7" ht="12.75">
      <c r="F71">
        <f t="shared" si="13"/>
        <v>13</v>
      </c>
      <c r="G71">
        <f t="shared" si="14"/>
        <v>19</v>
      </c>
    </row>
    <row r="72" spans="6:7" ht="12.75">
      <c r="F72">
        <f t="shared" si="13"/>
        <v>14</v>
      </c>
      <c r="G72">
        <f t="shared" si="14"/>
        <v>19</v>
      </c>
    </row>
    <row r="73" spans="6:7" ht="12.75">
      <c r="F73">
        <f t="shared" si="13"/>
        <v>15</v>
      </c>
      <c r="G73">
        <f t="shared" si="14"/>
        <v>19</v>
      </c>
    </row>
    <row r="74" spans="6:7" ht="12.75">
      <c r="F74">
        <f t="shared" si="13"/>
        <v>16</v>
      </c>
      <c r="G74">
        <f t="shared" si="14"/>
        <v>19</v>
      </c>
    </row>
    <row r="75" spans="6:7" ht="12.75">
      <c r="F75">
        <f t="shared" si="13"/>
        <v>17</v>
      </c>
      <c r="G75">
        <f t="shared" si="14"/>
        <v>19</v>
      </c>
    </row>
    <row r="76" spans="6:7" ht="12.75">
      <c r="F76">
        <f t="shared" si="13"/>
        <v>18</v>
      </c>
      <c r="G76">
        <f t="shared" si="14"/>
        <v>19</v>
      </c>
    </row>
    <row r="77" spans="6:7" ht="12.75">
      <c r="F77">
        <f t="shared" si="13"/>
        <v>19</v>
      </c>
      <c r="G77">
        <f t="shared" si="14"/>
        <v>19</v>
      </c>
    </row>
    <row r="78" spans="6:7" ht="12.75">
      <c r="F78">
        <v>27</v>
      </c>
      <c r="G78">
        <f>G77+dy*(F78-F77)/dx</f>
        <v>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 Clay</dc:creator>
  <cp:keywords/>
  <dc:description/>
  <cp:lastModifiedBy>Information Technology</cp:lastModifiedBy>
  <dcterms:created xsi:type="dcterms:W3CDTF">2006-03-29T20:41:54Z</dcterms:created>
  <dcterms:modified xsi:type="dcterms:W3CDTF">2019-01-14T22:57:39Z</dcterms:modified>
  <cp:category/>
  <cp:version/>
  <cp:contentType/>
  <cp:contentStatus/>
</cp:coreProperties>
</file>